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 firstSheet="2" activeTab="2"/>
  </bookViews>
  <sheets>
    <sheet name="2020" sheetId="2" r:id="rId1"/>
    <sheet name="dl18" sheetId="9" r:id="rId2"/>
    <sheet name="Bietole" sheetId="14" r:id="rId3"/>
  </sheets>
  <calcPr calcId="145621"/>
</workbook>
</file>

<file path=xl/calcChain.xml><?xml version="1.0" encoding="utf-8"?>
<calcChain xmlns="http://schemas.openxmlformats.org/spreadsheetml/2006/main">
  <c r="H7" i="14" l="1"/>
  <c r="I7" i="14"/>
  <c r="H8" i="14"/>
  <c r="I8" i="14"/>
  <c r="H9" i="14"/>
  <c r="I9" i="14"/>
  <c r="H10" i="14"/>
  <c r="I10" i="14"/>
  <c r="H11" i="14"/>
  <c r="I11" i="14"/>
  <c r="H6" i="14"/>
  <c r="I6" i="14"/>
  <c r="F12" i="14"/>
  <c r="F16" i="14" s="1"/>
  <c r="E12" i="14"/>
  <c r="C12" i="14"/>
  <c r="C15" i="14" s="1"/>
  <c r="B12" i="14"/>
  <c r="B17" i="14" s="1"/>
  <c r="G7" i="14"/>
  <c r="E25" i="14" s="1"/>
  <c r="G8" i="14"/>
  <c r="G9" i="14"/>
  <c r="G27" i="14" s="1"/>
  <c r="G10" i="14"/>
  <c r="E28" i="14" s="1"/>
  <c r="G11" i="14"/>
  <c r="E29" i="14" s="1"/>
  <c r="G6" i="14"/>
  <c r="G24" i="14" s="1"/>
  <c r="D7" i="14"/>
  <c r="B25" i="14" s="1"/>
  <c r="D8" i="14"/>
  <c r="B26" i="14" s="1"/>
  <c r="D9" i="14"/>
  <c r="B27" i="14" s="1"/>
  <c r="D10" i="14"/>
  <c r="D11" i="14"/>
  <c r="B29" i="14" s="1"/>
  <c r="D6" i="14"/>
  <c r="C24" i="14" s="1"/>
  <c r="C25" i="14" l="1"/>
  <c r="C18" i="14"/>
  <c r="D24" i="14"/>
  <c r="D29" i="14"/>
  <c r="G28" i="14"/>
  <c r="F28" i="14"/>
  <c r="C29" i="14"/>
  <c r="F27" i="14"/>
  <c r="J10" i="14"/>
  <c r="E27" i="14"/>
  <c r="D25" i="14"/>
  <c r="F15" i="14"/>
  <c r="G12" i="14"/>
  <c r="G21" i="14" s="1"/>
  <c r="B24" i="14"/>
  <c r="G29" i="14"/>
  <c r="C28" i="14"/>
  <c r="F24" i="14"/>
  <c r="B28" i="14"/>
  <c r="D27" i="14"/>
  <c r="F29" i="14"/>
  <c r="G26" i="14"/>
  <c r="F21" i="14"/>
  <c r="C27" i="14"/>
  <c r="F26" i="14"/>
  <c r="E21" i="14"/>
  <c r="E26" i="14"/>
  <c r="D26" i="14"/>
  <c r="G25" i="14"/>
  <c r="F18" i="14"/>
  <c r="C26" i="14"/>
  <c r="E24" i="14"/>
  <c r="F25" i="14"/>
  <c r="E16" i="14"/>
  <c r="D28" i="14"/>
  <c r="B16" i="14"/>
  <c r="B15" i="14"/>
  <c r="C21" i="14"/>
  <c r="C17" i="14"/>
  <c r="E18" i="14"/>
  <c r="B21" i="14"/>
  <c r="F20" i="14"/>
  <c r="E15" i="14"/>
  <c r="B20" i="14"/>
  <c r="C20" i="14"/>
  <c r="C16" i="14"/>
  <c r="E20" i="14"/>
  <c r="F17" i="14"/>
  <c r="B19" i="14"/>
  <c r="E17" i="14"/>
  <c r="I12" i="14"/>
  <c r="B18" i="14"/>
  <c r="C19" i="14"/>
  <c r="F19" i="14"/>
  <c r="G16" i="14"/>
  <c r="H12" i="14"/>
  <c r="E19" i="14"/>
  <c r="D12" i="14"/>
  <c r="B30" i="14" s="1"/>
  <c r="J9" i="14"/>
  <c r="J8" i="14"/>
  <c r="J7" i="14"/>
  <c r="J6" i="14"/>
  <c r="J11" i="14"/>
  <c r="D16" i="14" l="1"/>
  <c r="G18" i="14"/>
  <c r="G15" i="14"/>
  <c r="G19" i="14"/>
  <c r="F30" i="14"/>
  <c r="D17" i="14"/>
  <c r="G30" i="14"/>
  <c r="D20" i="14"/>
  <c r="G17" i="14"/>
  <c r="G20" i="14"/>
  <c r="D18" i="14"/>
  <c r="E30" i="14"/>
  <c r="C30" i="14"/>
  <c r="D30" i="14"/>
  <c r="J12" i="14"/>
  <c r="D15" i="14"/>
  <c r="D19" i="14"/>
  <c r="D21" i="14"/>
  <c r="H10" i="2" l="1"/>
  <c r="H9" i="2"/>
  <c r="H14" i="2" s="1"/>
  <c r="H15" i="2" l="1"/>
  <c r="G10" i="2"/>
  <c r="G9" i="2"/>
  <c r="F10" i="2"/>
  <c r="F9" i="2"/>
  <c r="F8" i="2"/>
  <c r="F5" i="2"/>
  <c r="B69" i="2" l="1"/>
  <c r="B66" i="2"/>
  <c r="B62" i="2"/>
  <c r="C31" i="2" l="1"/>
  <c r="B17" i="2"/>
  <c r="C35" i="2" l="1"/>
  <c r="C43" i="2"/>
  <c r="C37" i="2"/>
  <c r="C38" i="2"/>
  <c r="C39" i="2"/>
  <c r="C40" i="2"/>
  <c r="C41" i="2"/>
  <c r="C42" i="2"/>
  <c r="C36" i="2"/>
  <c r="C21" i="2"/>
  <c r="C7" i="2"/>
  <c r="C8" i="2"/>
  <c r="C9" i="2"/>
  <c r="C11" i="2"/>
  <c r="C12" i="2"/>
  <c r="C13" i="2"/>
  <c r="C15" i="2"/>
  <c r="C5" i="2"/>
  <c r="C6" i="2"/>
  <c r="B5" i="2"/>
  <c r="B15" i="2"/>
  <c r="B13" i="2"/>
  <c r="B12" i="2"/>
  <c r="B11" i="2"/>
  <c r="B9" i="2"/>
  <c r="B8" i="2"/>
  <c r="B7" i="2"/>
  <c r="B6" i="2"/>
  <c r="B38" i="2"/>
  <c r="B37" i="2"/>
</calcChain>
</file>

<file path=xl/sharedStrings.xml><?xml version="1.0" encoding="utf-8"?>
<sst xmlns="http://schemas.openxmlformats.org/spreadsheetml/2006/main" count="136" uniqueCount="114">
  <si>
    <t>Produzione e esportazioni</t>
  </si>
  <si>
    <t>Miliardi di euro</t>
  </si>
  <si>
    <t>Valore delle esportazioni agroalimentari</t>
  </si>
  <si>
    <t>(valore in continua crescita dal 2005)</t>
  </si>
  <si>
    <t>Dettaglio valore esportazioni vino</t>
  </si>
  <si>
    <t>Deficit bilancia commerciale agroalimentare</t>
  </si>
  <si>
    <t>Imprese e occupati</t>
  </si>
  <si>
    <t>Numero</t>
  </si>
  <si>
    <t>Imprese agricole iscritte CCIAA</t>
  </si>
  <si>
    <t>Imprese industria agroalimentari</t>
  </si>
  <si>
    <t>Occupati in agricoltura</t>
  </si>
  <si>
    <t>(calo indipendenti controbilanciato da aumento dipendenti)</t>
  </si>
  <si>
    <t>Superficie</t>
  </si>
  <si>
    <t>Ettari</t>
  </si>
  <si>
    <t>Superficie agricola utilizzata (ettari):</t>
  </si>
  <si>
    <t>Orticole</t>
  </si>
  <si>
    <t>Vite</t>
  </si>
  <si>
    <t>Fruttiferi</t>
  </si>
  <si>
    <t>Olivo</t>
  </si>
  <si>
    <t>Prati permanenti e pascoli</t>
  </si>
  <si>
    <t>Allevamenti</t>
  </si>
  <si>
    <t>Capi</t>
  </si>
  <si>
    <t>Allevamenti (capi):</t>
  </si>
  <si>
    <t>Avicoli</t>
  </si>
  <si>
    <t>Suini</t>
  </si>
  <si>
    <t>Bovini da latte</t>
  </si>
  <si>
    <t>Vitelli carne bianca</t>
  </si>
  <si>
    <t>Bovini da carne (vitelloni)</t>
  </si>
  <si>
    <t>Cunicoli (fattrici)</t>
  </si>
  <si>
    <t>Dati salienti agricoltura e agroalimentare del Veneto. Anno 2018.</t>
  </si>
  <si>
    <t>Cereali</t>
  </si>
  <si>
    <t xml:space="preserve">Colture industriali </t>
  </si>
  <si>
    <t>- coltivazioni agricole</t>
  </si>
  <si>
    <t>- allevamenti zootecnici</t>
  </si>
  <si>
    <t>-- coltivazioni erbacee</t>
  </si>
  <si>
    <t>-- coltivazioni foraggere</t>
  </si>
  <si>
    <t>-- coltivazioni legnose</t>
  </si>
  <si>
    <t>-- carni</t>
  </si>
  <si>
    <t xml:space="preserve">-- latte </t>
  </si>
  <si>
    <t>- attività di supporto (connesse)</t>
  </si>
  <si>
    <t>Peso %</t>
  </si>
  <si>
    <t>Valore della produzione agricola:</t>
  </si>
  <si>
    <t>(il deficit tende nel tempo a ridursi: nel 2008 era -1,197 mld)</t>
  </si>
  <si>
    <t>(le esportazioni sono trainate dagli spumanti)</t>
  </si>
  <si>
    <t xml:space="preserve">Altro (vivaismo, ecc.) </t>
  </si>
  <si>
    <t>Totale</t>
  </si>
  <si>
    <t xml:space="preserve">Peso produzione agricola sul totale nazionale </t>
  </si>
  <si>
    <t>Comparto</t>
  </si>
  <si>
    <t>Fatturato</t>
  </si>
  <si>
    <t>Aziende</t>
  </si>
  <si>
    <t>Criticità</t>
  </si>
  <si>
    <t>Note</t>
  </si>
  <si>
    <t>Florovivaismo</t>
  </si>
  <si>
    <t xml:space="preserve">Blocco attività, in particolare per la vendita. </t>
  </si>
  <si>
    <t>Le interpretazioni normative non hanno risolto il problema.</t>
  </si>
  <si>
    <t>Agriturismo</t>
  </si>
  <si>
    <t>Blocco attività</t>
  </si>
  <si>
    <t>Ortofrutta</t>
  </si>
  <si>
    <t>Difficoltà reperimento stagionali. Difficoltà commercializzazione estero e assorbimento HO.RE.CA.</t>
  </si>
  <si>
    <t xml:space="preserve">La questione ora è palese per la produzione dell’Asparago. </t>
  </si>
  <si>
    <t>Vitivinicolo</t>
  </si>
  <si>
    <t>Difficoltà HO.RE.CA. per vini fasce medio alte</t>
  </si>
  <si>
    <t>Da verificare difficoltà export</t>
  </si>
  <si>
    <t>Lattiero-caseario</t>
  </si>
  <si>
    <t>Criticità maggiori trasformatori dedicati all’HO.RE.CA</t>
  </si>
  <si>
    <t>417 milioni (fresco 238 milioni - stima)</t>
  </si>
  <si>
    <t>1.324 milioni alla produzione (export vini 2,55 mld)</t>
  </si>
  <si>
    <t xml:space="preserve">594 milioni </t>
  </si>
  <si>
    <t>150 milioni (stima ristorazione e alloggio)</t>
  </si>
  <si>
    <t>Grandi colture</t>
  </si>
  <si>
    <t>Selvicoltura</t>
  </si>
  <si>
    <t>Zootecnia da carne</t>
  </si>
  <si>
    <t>775 milioni (industriali 228)</t>
  </si>
  <si>
    <t>1.509 milioni (bovine 420 mln, suine 201, avicole 758)</t>
  </si>
  <si>
    <t>Blocco totale codice ATECO dall'11 marzo</t>
  </si>
  <si>
    <t>562 imprese boschive</t>
  </si>
  <si>
    <t xml:space="preserve">55.000 metri cubi conifere e 60.000 metri cubi latifoglie </t>
  </si>
  <si>
    <t>Pesca e acquacoltura</t>
  </si>
  <si>
    <t>90 milioni di euro (42 da allevamento ittico)</t>
  </si>
  <si>
    <t>Problema sulla carne bianca (HO.RE.CA?)</t>
  </si>
  <si>
    <t xml:space="preserve">Difficoltà HO.RE.CA. </t>
  </si>
  <si>
    <t>Difficoltà HO.RE.CA. per i freschi più turbolenze.</t>
  </si>
  <si>
    <t>230 milioni (50 vendita fiori e piante, 130 manutenzioni verde, 30 vivaismo)</t>
  </si>
  <si>
    <t xml:space="preserve"> Vitivinicole (con stabilimenti enologici)</t>
  </si>
  <si>
    <t xml:space="preserve"> Ortofrutticole (con superficie ortofrutticole)</t>
  </si>
  <si>
    <t xml:space="preserve"> Lattiero-casearie (codici stalla attivi latte)</t>
  </si>
  <si>
    <t xml:space="preserve"> Florivivaistiche (legge reg. 19/1999)</t>
  </si>
  <si>
    <t xml:space="preserve">Risorse </t>
  </si>
  <si>
    <t xml:space="preserve">Media </t>
  </si>
  <si>
    <t>mar</t>
  </si>
  <si>
    <t>apr</t>
  </si>
  <si>
    <t>mag</t>
  </si>
  <si>
    <t>danno</t>
  </si>
  <si>
    <t>fondi psr</t>
  </si>
  <si>
    <t>plv media mese</t>
  </si>
  <si>
    <t>mld</t>
  </si>
  <si>
    <t>mln</t>
  </si>
  <si>
    <t>marzo e aprile</t>
  </si>
  <si>
    <t>marzo, aprile e maggio</t>
  </si>
  <si>
    <t>nemmeno lo 0,01 %</t>
  </si>
  <si>
    <t>Verona</t>
  </si>
  <si>
    <t>Rovigo</t>
  </si>
  <si>
    <t>Padova</t>
  </si>
  <si>
    <t>Treviso</t>
  </si>
  <si>
    <t>Venezia</t>
  </si>
  <si>
    <t>Vicenza</t>
  </si>
  <si>
    <t>% '21 su '20</t>
  </si>
  <si>
    <t xml:space="preserve">Bio </t>
  </si>
  <si>
    <t>Superficie a bietola in Veneto biologica e convenzionale 2021 e 2020 (dati COPROB)</t>
  </si>
  <si>
    <t>In % provincia sul totale Veneto</t>
  </si>
  <si>
    <t>Convenzionale</t>
  </si>
  <si>
    <t>Fonte: COPROB</t>
  </si>
  <si>
    <t>In % bio/covenzionale sul totale provinciale/Veneto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</si>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</sst>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"/>
    <numFmt numFmtId="165" formatCode="0.0%"/>
    <numFmt numFmtId="166" formatCode="_-* #,##0\ _€_-;\-* #,##0\ _€_-;_-* &quot;-&quot;??\ _€_-;_-@_-"/>
    <numFmt numFmtId="167" formatCode="_-* #,##0\ [$€-410]_-;\-* #,##0\ [$€-410]_-;_-* &quot;-&quot;??\ [$€-410]_-;_-@_-"/>
    <numFmt numFmtId="168" formatCode="_-* #,##0.00000\ _€_-;\-* #,##0.000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3" fillId="0" borderId="0" xfId="0" quotePrefix="1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165" fontId="5" fillId="0" borderId="0" xfId="1" applyNumberFormat="1" applyFont="1"/>
    <xf numFmtId="0" fontId="2" fillId="0" borderId="2" xfId="0" applyFont="1" applyBorder="1" applyAlignment="1">
      <alignment vertical="center"/>
    </xf>
    <xf numFmtId="3" fontId="5" fillId="0" borderId="1" xfId="0" applyNumberFormat="1" applyFont="1" applyBorder="1"/>
    <xf numFmtId="166" fontId="0" fillId="0" borderId="0" xfId="2" applyNumberFormat="1" applyFont="1"/>
    <xf numFmtId="0" fontId="0" fillId="0" borderId="1" xfId="0" applyBorder="1"/>
    <xf numFmtId="0" fontId="0" fillId="0" borderId="0" xfId="0" applyBorder="1"/>
    <xf numFmtId="0" fontId="6" fillId="0" borderId="0" xfId="0" applyFont="1"/>
    <xf numFmtId="165" fontId="3" fillId="0" borderId="0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quotePrefix="1" applyFont="1"/>
    <xf numFmtId="3" fontId="8" fillId="0" borderId="0" xfId="0" applyNumberFormat="1" applyFont="1" applyBorder="1" applyAlignment="1">
      <alignment horizontal="right" vertical="center"/>
    </xf>
    <xf numFmtId="167" fontId="8" fillId="0" borderId="0" xfId="0" applyNumberFormat="1" applyFont="1" applyBorder="1" applyAlignment="1">
      <alignment horizontal="right" vertical="center"/>
    </xf>
    <xf numFmtId="9" fontId="5" fillId="0" borderId="0" xfId="0" applyNumberFormat="1" applyFont="1"/>
    <xf numFmtId="166" fontId="5" fillId="0" borderId="0" xfId="2" applyNumberFormat="1" applyFont="1"/>
    <xf numFmtId="0" fontId="5" fillId="2" borderId="0" xfId="0" applyFont="1" applyFill="1"/>
    <xf numFmtId="166" fontId="5" fillId="0" borderId="0" xfId="0" applyNumberFormat="1" applyFont="1"/>
    <xf numFmtId="168" fontId="5" fillId="0" borderId="0" xfId="0" applyNumberFormat="1" applyFont="1"/>
    <xf numFmtId="10" fontId="5" fillId="0" borderId="0" xfId="1" applyNumberFormat="1" applyFont="1"/>
    <xf numFmtId="0" fontId="6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166" fontId="0" fillId="0" borderId="0" xfId="2" applyNumberFormat="1" applyFont="1" applyBorder="1"/>
    <xf numFmtId="166" fontId="6" fillId="0" borderId="0" xfId="2" applyNumberFormat="1" applyFont="1" applyBorder="1"/>
    <xf numFmtId="165" fontId="9" fillId="0" borderId="0" xfId="1" applyNumberFormat="1" applyFont="1" applyBorder="1"/>
    <xf numFmtId="165" fontId="10" fillId="0" borderId="0" xfId="1" applyNumberFormat="1" applyFont="1" applyBorder="1"/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/>
    <xf numFmtId="165" fontId="9" fillId="0" borderId="5" xfId="1" applyNumberFormat="1" applyFont="1" applyBorder="1"/>
    <xf numFmtId="165" fontId="9" fillId="0" borderId="2" xfId="1" applyNumberFormat="1" applyFont="1" applyBorder="1"/>
    <xf numFmtId="165" fontId="9" fillId="0" borderId="6" xfId="1" applyNumberFormat="1" applyFont="1" applyBorder="1"/>
    <xf numFmtId="0" fontId="6" fillId="0" borderId="5" xfId="0" applyFont="1" applyBorder="1"/>
    <xf numFmtId="166" fontId="0" fillId="0" borderId="6" xfId="2" applyNumberFormat="1" applyFont="1" applyBorder="1"/>
    <xf numFmtId="166" fontId="6" fillId="0" borderId="6" xfId="2" applyNumberFormat="1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6" xfId="0" applyFont="1" applyBorder="1"/>
    <xf numFmtId="165" fontId="10" fillId="0" borderId="6" xfId="1" applyNumberFormat="1" applyFont="1" applyBorder="1"/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6" workbookViewId="0">
      <selection activeCell="H30" sqref="H30"/>
    </sheetView>
  </sheetViews>
  <sheetFormatPr defaultRowHeight="13.8" x14ac:dyDescent="0.25"/>
  <cols>
    <col min="1" max="1" width="55.109375" style="11" customWidth="1"/>
    <col min="2" max="2" width="17" style="11" customWidth="1"/>
    <col min="3" max="4" width="8.88671875" style="11"/>
    <col min="5" max="5" width="20.88671875" style="11" customWidth="1"/>
    <col min="6" max="7" width="8.88671875" style="11"/>
    <col min="8" max="8" width="14.109375" style="11" bestFit="1" customWidth="1"/>
    <col min="9" max="9" width="11.21875" style="11" bestFit="1" customWidth="1"/>
    <col min="10" max="16384" width="8.88671875" style="11"/>
  </cols>
  <sheetData>
    <row r="1" spans="1:9" x14ac:dyDescent="0.25">
      <c r="A1" s="1" t="s">
        <v>29</v>
      </c>
    </row>
    <row r="3" spans="1:9" x14ac:dyDescent="0.25">
      <c r="A3" s="17" t="s">
        <v>0</v>
      </c>
      <c r="B3" s="17" t="s">
        <v>1</v>
      </c>
      <c r="C3" s="17" t="s">
        <v>40</v>
      </c>
    </row>
    <row r="4" spans="1:9" x14ac:dyDescent="0.25">
      <c r="A4" s="12"/>
      <c r="B4" s="12"/>
      <c r="F4" s="11" t="s">
        <v>95</v>
      </c>
      <c r="H4" s="11" t="s">
        <v>96</v>
      </c>
    </row>
    <row r="5" spans="1:9" x14ac:dyDescent="0.25">
      <c r="A5" s="4" t="s">
        <v>41</v>
      </c>
      <c r="B5" s="15">
        <f>B6+B11+B15</f>
        <v>5.8818809999999999</v>
      </c>
      <c r="C5" s="16">
        <f>B5/$B$5</f>
        <v>1</v>
      </c>
      <c r="E5" s="11" t="s">
        <v>94</v>
      </c>
      <c r="F5" s="11">
        <f>B5/12</f>
        <v>0.49015674999999997</v>
      </c>
      <c r="G5" s="11" t="s">
        <v>92</v>
      </c>
    </row>
    <row r="6" spans="1:9" x14ac:dyDescent="0.25">
      <c r="A6" s="14" t="s">
        <v>32</v>
      </c>
      <c r="B6" s="15">
        <f>3061759/1000000</f>
        <v>3.0617589999999999</v>
      </c>
      <c r="C6" s="16">
        <f>B6/$B$5</f>
        <v>0.52054079298782141</v>
      </c>
      <c r="G6" s="31">
        <v>0.25</v>
      </c>
    </row>
    <row r="7" spans="1:9" x14ac:dyDescent="0.25">
      <c r="A7" s="14" t="s">
        <v>34</v>
      </c>
      <c r="B7" s="15">
        <f>1329527/1000000</f>
        <v>1.3295269999999999</v>
      </c>
      <c r="C7" s="16">
        <f t="shared" ref="C7:C15" si="0">B7/$B$5</f>
        <v>0.22603772500667726</v>
      </c>
    </row>
    <row r="8" spans="1:9" x14ac:dyDescent="0.25">
      <c r="A8" s="14" t="s">
        <v>35</v>
      </c>
      <c r="B8" s="15">
        <f>89519/1000000</f>
        <v>8.9519000000000001E-2</v>
      </c>
      <c r="C8" s="16">
        <f t="shared" si="0"/>
        <v>1.5219451056558269E-2</v>
      </c>
      <c r="E8" s="11" t="s">
        <v>89</v>
      </c>
      <c r="F8" s="11">
        <f>F5</f>
        <v>0.49015674999999997</v>
      </c>
    </row>
    <row r="9" spans="1:9" x14ac:dyDescent="0.25">
      <c r="A9" s="14" t="s">
        <v>36</v>
      </c>
      <c r="B9" s="15">
        <f>1642713/1000000</f>
        <v>1.6427130000000001</v>
      </c>
      <c r="C9" s="16">
        <f t="shared" si="0"/>
        <v>0.27928361692458586</v>
      </c>
      <c r="E9" s="11" t="s">
        <v>90</v>
      </c>
      <c r="F9" s="11">
        <f>$F$8+F5</f>
        <v>0.98031349999999995</v>
      </c>
      <c r="G9" s="11">
        <f>F9*0.25</f>
        <v>0.24507837499999999</v>
      </c>
      <c r="H9" s="32">
        <f>G9*1000</f>
        <v>245.07837499999999</v>
      </c>
    </row>
    <row r="10" spans="1:9" x14ac:dyDescent="0.25">
      <c r="A10" s="14"/>
      <c r="B10" s="5"/>
      <c r="C10" s="16"/>
      <c r="E10" s="11" t="s">
        <v>91</v>
      </c>
      <c r="F10" s="11">
        <f>F9+F8</f>
        <v>1.47047025</v>
      </c>
      <c r="G10" s="11">
        <f>F10*0.25</f>
        <v>0.36761756249999999</v>
      </c>
      <c r="H10" s="32">
        <f>G10*1000</f>
        <v>367.61756250000002</v>
      </c>
    </row>
    <row r="11" spans="1:9" x14ac:dyDescent="0.25">
      <c r="A11" s="14" t="s">
        <v>33</v>
      </c>
      <c r="B11" s="15">
        <f>2141610/1000000</f>
        <v>2.14161</v>
      </c>
      <c r="C11" s="16">
        <f t="shared" si="0"/>
        <v>0.36410291197662792</v>
      </c>
    </row>
    <row r="12" spans="1:9" x14ac:dyDescent="0.25">
      <c r="A12" s="14" t="s">
        <v>37</v>
      </c>
      <c r="B12" s="15">
        <f>1509372/1000000</f>
        <v>1.5093719999999999</v>
      </c>
      <c r="C12" s="16">
        <f t="shared" si="0"/>
        <v>0.25661382812743067</v>
      </c>
      <c r="G12" s="11" t="s">
        <v>93</v>
      </c>
      <c r="H12" s="11">
        <v>11.6</v>
      </c>
    </row>
    <row r="13" spans="1:9" x14ac:dyDescent="0.25">
      <c r="A13" s="14" t="s">
        <v>38</v>
      </c>
      <c r="B13" s="15">
        <f>417100/1000000</f>
        <v>0.41710000000000003</v>
      </c>
      <c r="C13" s="16">
        <f t="shared" si="0"/>
        <v>7.091268932506456E-2</v>
      </c>
    </row>
    <row r="14" spans="1:9" x14ac:dyDescent="0.25">
      <c r="A14" s="14"/>
      <c r="C14" s="16"/>
      <c r="E14" s="11" t="s">
        <v>97</v>
      </c>
      <c r="H14" s="36">
        <f>H12/H9</f>
        <v>4.7331797430107819E-2</v>
      </c>
      <c r="I14" s="35"/>
    </row>
    <row r="15" spans="1:9" x14ac:dyDescent="0.25">
      <c r="A15" s="14" t="s">
        <v>39</v>
      </c>
      <c r="B15" s="15">
        <f>678512/1000000</f>
        <v>0.678512</v>
      </c>
      <c r="C15" s="16">
        <f t="shared" si="0"/>
        <v>0.1153562950355507</v>
      </c>
      <c r="E15" s="11" t="s">
        <v>98</v>
      </c>
      <c r="H15" s="36">
        <f>H12/H10</f>
        <v>3.1554531620071873E-2</v>
      </c>
    </row>
    <row r="16" spans="1:9" x14ac:dyDescent="0.25">
      <c r="A16" s="14"/>
      <c r="B16" s="15"/>
      <c r="C16" s="16"/>
    </row>
    <row r="17" spans="1:9" x14ac:dyDescent="0.25">
      <c r="A17" s="14" t="s">
        <v>46</v>
      </c>
      <c r="B17" s="23">
        <f>B5/52</f>
        <v>0.11311309615384615</v>
      </c>
      <c r="C17" s="16"/>
      <c r="E17" s="33" t="s">
        <v>99</v>
      </c>
    </row>
    <row r="18" spans="1:9" x14ac:dyDescent="0.25">
      <c r="A18" s="12"/>
      <c r="B18" s="12"/>
    </row>
    <row r="19" spans="1:9" x14ac:dyDescent="0.25">
      <c r="A19" s="4" t="s">
        <v>2</v>
      </c>
      <c r="B19" s="5">
        <v>7.1449999999999996</v>
      </c>
    </row>
    <row r="20" spans="1:9" ht="14.4" x14ac:dyDescent="0.25">
      <c r="A20" s="6" t="s">
        <v>3</v>
      </c>
      <c r="B20" s="12"/>
      <c r="I20" s="34"/>
    </row>
    <row r="21" spans="1:9" x14ac:dyDescent="0.25">
      <c r="A21" s="4" t="s">
        <v>4</v>
      </c>
      <c r="B21" s="5">
        <v>2.5569999999999999</v>
      </c>
      <c r="C21" s="16">
        <f>B21/B19</f>
        <v>0.35787263820853743</v>
      </c>
    </row>
    <row r="22" spans="1:9" ht="14.4" x14ac:dyDescent="0.25">
      <c r="A22" s="6" t="s">
        <v>43</v>
      </c>
      <c r="B22" s="12"/>
    </row>
    <row r="23" spans="1:9" x14ac:dyDescent="0.25">
      <c r="A23" s="4" t="s">
        <v>5</v>
      </c>
      <c r="B23" s="5">
        <v>0.155</v>
      </c>
    </row>
    <row r="24" spans="1:9" ht="14.4" x14ac:dyDescent="0.25">
      <c r="A24" s="6" t="s">
        <v>42</v>
      </c>
      <c r="B24" s="12"/>
    </row>
    <row r="25" spans="1:9" x14ac:dyDescent="0.25">
      <c r="A25" s="13"/>
      <c r="B25" s="13"/>
      <c r="C25" s="13"/>
    </row>
    <row r="26" spans="1:9" x14ac:dyDescent="0.25">
      <c r="A26" s="3" t="s">
        <v>6</v>
      </c>
      <c r="B26" s="7" t="s">
        <v>7</v>
      </c>
    </row>
    <row r="27" spans="1:9" x14ac:dyDescent="0.25">
      <c r="A27" s="4" t="s">
        <v>8</v>
      </c>
      <c r="B27" s="8">
        <v>64182</v>
      </c>
    </row>
    <row r="28" spans="1:9" ht="14.4" x14ac:dyDescent="0.25">
      <c r="A28" s="6"/>
      <c r="B28" s="12"/>
    </row>
    <row r="29" spans="1:9" x14ac:dyDescent="0.25">
      <c r="A29" s="4" t="s">
        <v>9</v>
      </c>
      <c r="B29" s="8">
        <v>3720</v>
      </c>
    </row>
    <row r="30" spans="1:9" x14ac:dyDescent="0.25">
      <c r="A30" s="12"/>
      <c r="B30" s="12"/>
    </row>
    <row r="31" spans="1:9" x14ac:dyDescent="0.25">
      <c r="A31" s="4" t="s">
        <v>10</v>
      </c>
      <c r="B31" s="8">
        <v>63839</v>
      </c>
      <c r="C31" s="11">
        <f>(B5*1000000000)/B31</f>
        <v>92136.170679365285</v>
      </c>
    </row>
    <row r="32" spans="1:9" ht="14.4" x14ac:dyDescent="0.25">
      <c r="A32" s="6" t="s">
        <v>11</v>
      </c>
      <c r="B32" s="12"/>
    </row>
    <row r="33" spans="1:3" x14ac:dyDescent="0.25">
      <c r="A33" s="13"/>
      <c r="B33" s="13"/>
      <c r="C33" s="13"/>
    </row>
    <row r="34" spans="1:3" x14ac:dyDescent="0.25">
      <c r="A34" s="3" t="s">
        <v>12</v>
      </c>
      <c r="B34" s="7" t="s">
        <v>13</v>
      </c>
      <c r="C34" s="7" t="s">
        <v>40</v>
      </c>
    </row>
    <row r="35" spans="1:3" x14ac:dyDescent="0.25">
      <c r="A35" s="4" t="s">
        <v>14</v>
      </c>
      <c r="B35" s="8">
        <v>777886</v>
      </c>
      <c r="C35" s="16">
        <f>B35/$B$35</f>
        <v>1</v>
      </c>
    </row>
    <row r="36" spans="1:3" ht="14.4" x14ac:dyDescent="0.25">
      <c r="A36" s="6" t="s">
        <v>30</v>
      </c>
      <c r="B36" s="9">
        <v>273140</v>
      </c>
      <c r="C36" s="16">
        <f>B36/$B$35</f>
        <v>0.35113114260958544</v>
      </c>
    </row>
    <row r="37" spans="1:3" ht="14.4" x14ac:dyDescent="0.25">
      <c r="A37" s="6" t="s">
        <v>31</v>
      </c>
      <c r="B37" s="9">
        <f>186148</f>
        <v>186148</v>
      </c>
      <c r="C37" s="16">
        <f t="shared" ref="C37:C43" si="1">B37/$B$35</f>
        <v>0.23929984599285756</v>
      </c>
    </row>
    <row r="38" spans="1:3" ht="14.4" x14ac:dyDescent="0.25">
      <c r="A38" s="6" t="s">
        <v>15</v>
      </c>
      <c r="B38" s="9">
        <f>23180+4211</f>
        <v>27391</v>
      </c>
      <c r="C38" s="16">
        <f t="shared" si="1"/>
        <v>3.5212100487732136E-2</v>
      </c>
    </row>
    <row r="39" spans="1:3" ht="14.4" x14ac:dyDescent="0.25">
      <c r="A39" s="6" t="s">
        <v>16</v>
      </c>
      <c r="B39" s="9">
        <v>93717</v>
      </c>
      <c r="C39" s="16">
        <f t="shared" si="1"/>
        <v>0.12047652226675888</v>
      </c>
    </row>
    <row r="40" spans="1:3" ht="14.4" x14ac:dyDescent="0.25">
      <c r="A40" s="6" t="s">
        <v>17</v>
      </c>
      <c r="B40" s="9">
        <v>20081</v>
      </c>
      <c r="C40" s="16">
        <f t="shared" si="1"/>
        <v>2.5814836621304408E-2</v>
      </c>
    </row>
    <row r="41" spans="1:3" ht="14.4" x14ac:dyDescent="0.25">
      <c r="A41" s="6" t="s">
        <v>18</v>
      </c>
      <c r="B41" s="9">
        <v>5302</v>
      </c>
      <c r="C41" s="16">
        <f t="shared" si="1"/>
        <v>6.8159087578385522E-3</v>
      </c>
    </row>
    <row r="42" spans="1:3" ht="14.4" x14ac:dyDescent="0.25">
      <c r="A42" s="6" t="s">
        <v>19</v>
      </c>
      <c r="B42" s="9">
        <v>169147</v>
      </c>
      <c r="C42" s="16">
        <f t="shared" si="1"/>
        <v>0.21744445844249671</v>
      </c>
    </row>
    <row r="43" spans="1:3" ht="14.4" x14ac:dyDescent="0.25">
      <c r="A43" s="6" t="s">
        <v>44</v>
      </c>
      <c r="B43" s="9">
        <v>2960</v>
      </c>
      <c r="C43" s="16">
        <f t="shared" si="1"/>
        <v>3.805184821426276E-3</v>
      </c>
    </row>
    <row r="44" spans="1:3" x14ac:dyDescent="0.25">
      <c r="A44" s="13"/>
      <c r="B44" s="18"/>
      <c r="C44" s="18"/>
    </row>
    <row r="45" spans="1:3" x14ac:dyDescent="0.25">
      <c r="A45" s="3" t="s">
        <v>20</v>
      </c>
      <c r="B45" s="7" t="s">
        <v>21</v>
      </c>
    </row>
    <row r="46" spans="1:3" x14ac:dyDescent="0.25">
      <c r="A46" s="4" t="s">
        <v>22</v>
      </c>
      <c r="B46" s="12"/>
    </row>
    <row r="47" spans="1:3" ht="14.4" x14ac:dyDescent="0.25">
      <c r="A47" s="6" t="s">
        <v>23</v>
      </c>
      <c r="B47" s="9">
        <v>44390161</v>
      </c>
    </row>
    <row r="48" spans="1:3" ht="14.4" x14ac:dyDescent="0.25">
      <c r="A48" s="6" t="s">
        <v>24</v>
      </c>
      <c r="B48" s="9">
        <v>676313</v>
      </c>
    </row>
    <row r="49" spans="1:3" ht="14.4" x14ac:dyDescent="0.25">
      <c r="A49" s="6" t="s">
        <v>25</v>
      </c>
      <c r="B49" s="9">
        <v>256423</v>
      </c>
    </row>
    <row r="50" spans="1:3" ht="14.4" x14ac:dyDescent="0.25">
      <c r="A50" s="6" t="s">
        <v>26</v>
      </c>
      <c r="B50" s="9">
        <v>99730</v>
      </c>
    </row>
    <row r="51" spans="1:3" ht="14.4" x14ac:dyDescent="0.25">
      <c r="A51" s="6" t="s">
        <v>27</v>
      </c>
      <c r="B51" s="9">
        <v>329582</v>
      </c>
    </row>
    <row r="52" spans="1:3" ht="14.4" x14ac:dyDescent="0.25">
      <c r="A52" s="6" t="s">
        <v>28</v>
      </c>
      <c r="B52" s="9">
        <v>590190</v>
      </c>
    </row>
    <row r="53" spans="1:3" x14ac:dyDescent="0.25">
      <c r="A53" s="10"/>
      <c r="B53" s="10"/>
      <c r="C53" s="13"/>
    </row>
    <row r="57" spans="1:3" ht="14.4" x14ac:dyDescent="0.3">
      <c r="A57" s="22" t="s">
        <v>49</v>
      </c>
      <c r="B57" s="2"/>
    </row>
    <row r="58" spans="1:3" ht="14.4" x14ac:dyDescent="0.3">
      <c r="A58" s="28" t="s">
        <v>86</v>
      </c>
      <c r="B58" s="19">
        <v>1500</v>
      </c>
    </row>
    <row r="59" spans="1:3" ht="14.4" x14ac:dyDescent="0.3">
      <c r="A59" s="28" t="s">
        <v>85</v>
      </c>
      <c r="B59" s="19">
        <v>3200</v>
      </c>
    </row>
    <row r="60" spans="1:3" ht="14.4" x14ac:dyDescent="0.3">
      <c r="A60" s="28" t="s">
        <v>84</v>
      </c>
      <c r="B60" s="19">
        <v>7000</v>
      </c>
    </row>
    <row r="61" spans="1:3" ht="14.4" x14ac:dyDescent="0.3">
      <c r="A61" s="28" t="s">
        <v>83</v>
      </c>
      <c r="B61" s="19">
        <v>3400</v>
      </c>
    </row>
    <row r="62" spans="1:3" ht="14.4" x14ac:dyDescent="0.3">
      <c r="A62" s="2"/>
      <c r="B62" s="19">
        <f>SUM(B58:B61)</f>
        <v>15100</v>
      </c>
    </row>
    <row r="63" spans="1:3" ht="14.4" x14ac:dyDescent="0.3">
      <c r="A63" s="2"/>
      <c r="B63" s="29"/>
    </row>
    <row r="64" spans="1:3" ht="14.4" x14ac:dyDescent="0.3">
      <c r="A64" s="2" t="s">
        <v>87</v>
      </c>
      <c r="B64" s="30">
        <v>11000000</v>
      </c>
    </row>
    <row r="65" spans="1:2" ht="14.4" x14ac:dyDescent="0.3">
      <c r="A65" s="2"/>
      <c r="B65" s="2"/>
    </row>
    <row r="66" spans="1:2" ht="14.4" x14ac:dyDescent="0.3">
      <c r="A66" s="2" t="s">
        <v>88</v>
      </c>
      <c r="B66" s="30">
        <f>B64/B62</f>
        <v>728.47682119205297</v>
      </c>
    </row>
    <row r="69" spans="1:2" ht="14.4" x14ac:dyDescent="0.3">
      <c r="B69" s="19">
        <f>B64/5000</f>
        <v>2200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H30" sqref="H30"/>
    </sheetView>
  </sheetViews>
  <sheetFormatPr defaultRowHeight="30" customHeight="1" x14ac:dyDescent="0.3"/>
  <cols>
    <col min="1" max="1" width="19.33203125" customWidth="1"/>
    <col min="2" max="2" width="34.6640625" customWidth="1"/>
    <col min="3" max="3" width="17.21875" customWidth="1"/>
    <col min="4" max="4" width="43.33203125" customWidth="1"/>
    <col min="5" max="5" width="34.77734375" customWidth="1"/>
  </cols>
  <sheetData>
    <row r="2" spans="1:5" ht="30" customHeight="1" x14ac:dyDescent="0.3">
      <c r="A2" s="45" t="s">
        <v>47</v>
      </c>
      <c r="B2" s="45" t="s">
        <v>48</v>
      </c>
      <c r="C2" s="45" t="s">
        <v>49</v>
      </c>
      <c r="D2" s="45" t="s">
        <v>50</v>
      </c>
      <c r="E2" s="45" t="s">
        <v>51</v>
      </c>
    </row>
    <row r="3" spans="1:5" ht="30" customHeight="1" x14ac:dyDescent="0.3">
      <c r="A3" s="45"/>
      <c r="B3" s="45"/>
      <c r="C3" s="45"/>
      <c r="D3" s="45"/>
      <c r="E3" s="45"/>
    </row>
    <row r="4" spans="1:5" ht="30" customHeight="1" x14ac:dyDescent="0.3">
      <c r="A4" s="24" t="s">
        <v>52</v>
      </c>
      <c r="B4" s="24" t="s">
        <v>82</v>
      </c>
      <c r="C4" s="25">
        <v>1500</v>
      </c>
      <c r="D4" s="24" t="s">
        <v>53</v>
      </c>
      <c r="E4" s="24" t="s">
        <v>54</v>
      </c>
    </row>
    <row r="5" spans="1:5" ht="30" customHeight="1" x14ac:dyDescent="0.3">
      <c r="A5" s="45" t="s">
        <v>55</v>
      </c>
      <c r="B5" s="45" t="s">
        <v>68</v>
      </c>
      <c r="C5" s="46">
        <v>1456</v>
      </c>
      <c r="D5" s="45" t="s">
        <v>56</v>
      </c>
      <c r="E5" s="45"/>
    </row>
    <row r="6" spans="1:5" ht="30" customHeight="1" x14ac:dyDescent="0.3">
      <c r="A6" s="45"/>
      <c r="B6" s="45"/>
      <c r="C6" s="45"/>
      <c r="D6" s="45"/>
      <c r="E6" s="45"/>
    </row>
    <row r="7" spans="1:5" ht="43.2" customHeight="1" x14ac:dyDescent="0.3">
      <c r="A7" s="24" t="s">
        <v>57</v>
      </c>
      <c r="B7" s="24" t="s">
        <v>67</v>
      </c>
      <c r="C7" s="24"/>
      <c r="D7" s="24" t="s">
        <v>58</v>
      </c>
      <c r="E7" s="24" t="s">
        <v>59</v>
      </c>
    </row>
    <row r="8" spans="1:5" ht="30" customHeight="1" x14ac:dyDescent="0.3">
      <c r="A8" s="24" t="s">
        <v>60</v>
      </c>
      <c r="B8" s="24" t="s">
        <v>66</v>
      </c>
      <c r="C8" s="24"/>
      <c r="D8" s="24" t="s">
        <v>61</v>
      </c>
      <c r="E8" s="24" t="s">
        <v>62</v>
      </c>
    </row>
    <row r="9" spans="1:5" ht="30" customHeight="1" x14ac:dyDescent="0.3">
      <c r="A9" s="24" t="s">
        <v>63</v>
      </c>
      <c r="B9" s="24" t="s">
        <v>65</v>
      </c>
      <c r="C9" s="25">
        <v>3255</v>
      </c>
      <c r="D9" s="24" t="s">
        <v>81</v>
      </c>
      <c r="E9" s="24" t="s">
        <v>64</v>
      </c>
    </row>
    <row r="10" spans="1:5" ht="30" customHeight="1" x14ac:dyDescent="0.3">
      <c r="A10" s="24" t="s">
        <v>69</v>
      </c>
      <c r="B10" s="24" t="s">
        <v>72</v>
      </c>
      <c r="C10" s="24"/>
      <c r="D10" s="24"/>
      <c r="E10" s="24"/>
    </row>
    <row r="11" spans="1:5" ht="30" customHeight="1" x14ac:dyDescent="0.3">
      <c r="A11" s="24" t="s">
        <v>77</v>
      </c>
      <c r="B11" s="24" t="s">
        <v>78</v>
      </c>
      <c r="C11" s="25">
        <v>3787</v>
      </c>
      <c r="D11" s="24" t="s">
        <v>80</v>
      </c>
      <c r="E11" s="24"/>
    </row>
    <row r="12" spans="1:5" ht="30" customHeight="1" x14ac:dyDescent="0.3">
      <c r="A12" s="24" t="s">
        <v>70</v>
      </c>
      <c r="B12" s="24" t="s">
        <v>76</v>
      </c>
      <c r="C12" s="26" t="s">
        <v>75</v>
      </c>
      <c r="D12" s="24" t="s">
        <v>74</v>
      </c>
      <c r="E12" s="24"/>
    </row>
    <row r="13" spans="1:5" ht="30" customHeight="1" x14ac:dyDescent="0.3">
      <c r="A13" s="24" t="s">
        <v>71</v>
      </c>
      <c r="B13" s="24" t="s">
        <v>73</v>
      </c>
      <c r="C13" s="24"/>
      <c r="D13" s="24" t="s">
        <v>79</v>
      </c>
      <c r="E13" s="24"/>
    </row>
    <row r="14" spans="1:5" ht="30" customHeight="1" x14ac:dyDescent="0.3">
      <c r="D14" s="27"/>
    </row>
  </sheetData>
  <mergeCells count="10">
    <mergeCell ref="A5:A6"/>
    <mergeCell ref="B5:B6"/>
    <mergeCell ref="C5:C6"/>
    <mergeCell ref="D5:D6"/>
    <mergeCell ref="E5:E6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19" sqref="C19"/>
    </sheetView>
  </sheetViews>
  <sheetFormatPr defaultRowHeight="14.4" x14ac:dyDescent="0.3"/>
  <cols>
    <col min="1" max="1" width="10.88671875" customWidth="1"/>
    <col min="2" max="10" width="13.44140625" customWidth="1"/>
  </cols>
  <sheetData>
    <row r="1" spans="1:10" x14ac:dyDescent="0.3">
      <c r="A1" s="22" t="s">
        <v>108</v>
      </c>
    </row>
    <row r="3" spans="1:10" x14ac:dyDescent="0.3">
      <c r="A3" s="40"/>
      <c r="B3" s="47">
        <v>2021</v>
      </c>
      <c r="C3" s="47"/>
      <c r="D3" s="47"/>
      <c r="E3" s="56">
        <v>2020</v>
      </c>
      <c r="F3" s="47"/>
      <c r="G3" s="47"/>
      <c r="H3" s="56" t="s">
        <v>106</v>
      </c>
      <c r="I3" s="47"/>
      <c r="J3" s="47"/>
    </row>
    <row r="4" spans="1:10" x14ac:dyDescent="0.3">
      <c r="A4" s="38"/>
      <c r="B4" s="39" t="s">
        <v>107</v>
      </c>
      <c r="C4" s="39" t="s">
        <v>110</v>
      </c>
      <c r="D4" s="39" t="s">
        <v>45</v>
      </c>
      <c r="E4" s="57" t="s">
        <v>107</v>
      </c>
      <c r="F4" s="39" t="s">
        <v>110</v>
      </c>
      <c r="G4" s="39" t="s">
        <v>45</v>
      </c>
      <c r="H4" s="57" t="s">
        <v>107</v>
      </c>
      <c r="I4" s="39" t="s">
        <v>110</v>
      </c>
      <c r="J4" s="39" t="s">
        <v>45</v>
      </c>
    </row>
    <row r="5" spans="1:10" x14ac:dyDescent="0.3">
      <c r="A5" s="37"/>
      <c r="B5" s="37"/>
      <c r="C5" s="37"/>
      <c r="D5" s="37"/>
      <c r="E5" s="53"/>
      <c r="F5" s="40"/>
      <c r="G5" s="40"/>
      <c r="H5" s="58"/>
      <c r="I5" s="37"/>
      <c r="J5" s="37"/>
    </row>
    <row r="6" spans="1:10" x14ac:dyDescent="0.3">
      <c r="A6" s="21" t="s">
        <v>101</v>
      </c>
      <c r="B6" s="41">
        <v>298</v>
      </c>
      <c r="C6" s="41">
        <v>3457</v>
      </c>
      <c r="D6" s="41">
        <f>B6+C6</f>
        <v>3755</v>
      </c>
      <c r="E6" s="54">
        <v>181</v>
      </c>
      <c r="F6" s="41">
        <v>3549</v>
      </c>
      <c r="G6" s="41">
        <f>E6+F6</f>
        <v>3730</v>
      </c>
      <c r="H6" s="52">
        <f t="shared" ref="H6:I6" si="0">(B6/E6)-100%</f>
        <v>0.64640883977900554</v>
      </c>
      <c r="I6" s="43">
        <f t="shared" si="0"/>
        <v>-2.5922795153564437E-2</v>
      </c>
      <c r="J6" s="43">
        <f>(D6/G6)-100%</f>
        <v>6.7024128686326012E-3</v>
      </c>
    </row>
    <row r="7" spans="1:10" x14ac:dyDescent="0.3">
      <c r="A7" s="21" t="s">
        <v>102</v>
      </c>
      <c r="B7" s="41">
        <v>113</v>
      </c>
      <c r="C7" s="41">
        <v>1785</v>
      </c>
      <c r="D7" s="41">
        <f t="shared" ref="D7:D12" si="1">B7+C7</f>
        <v>1898</v>
      </c>
      <c r="E7" s="54">
        <v>103</v>
      </c>
      <c r="F7" s="41">
        <v>1947</v>
      </c>
      <c r="G7" s="41">
        <f t="shared" ref="G7:G12" si="2">E7+F7</f>
        <v>2050</v>
      </c>
      <c r="H7" s="52">
        <f t="shared" ref="H7:H12" si="3">(B7/E7)-100%</f>
        <v>9.7087378640776656E-2</v>
      </c>
      <c r="I7" s="43">
        <f t="shared" ref="I7:I12" si="4">(C7/F7)-100%</f>
        <v>-8.3204930662557741E-2</v>
      </c>
      <c r="J7" s="43">
        <f t="shared" ref="J7:J12" si="5">(D7/G7)-100%</f>
        <v>-7.4146341463414589E-2</v>
      </c>
    </row>
    <row r="8" spans="1:10" x14ac:dyDescent="0.3">
      <c r="A8" s="21" t="s">
        <v>104</v>
      </c>
      <c r="B8" s="41">
        <v>73</v>
      </c>
      <c r="C8" s="41">
        <v>2522</v>
      </c>
      <c r="D8" s="41">
        <f t="shared" si="1"/>
        <v>2595</v>
      </c>
      <c r="E8" s="54">
        <v>45</v>
      </c>
      <c r="F8" s="41">
        <v>2643</v>
      </c>
      <c r="G8" s="41">
        <f t="shared" si="2"/>
        <v>2688</v>
      </c>
      <c r="H8" s="52">
        <f t="shared" si="3"/>
        <v>0.62222222222222223</v>
      </c>
      <c r="I8" s="43">
        <f t="shared" si="4"/>
        <v>-4.5781309118426039E-2</v>
      </c>
      <c r="J8" s="43">
        <f t="shared" si="5"/>
        <v>-3.4598214285714302E-2</v>
      </c>
    </row>
    <row r="9" spans="1:10" x14ac:dyDescent="0.3">
      <c r="A9" s="21" t="s">
        <v>100</v>
      </c>
      <c r="B9" s="41">
        <v>191</v>
      </c>
      <c r="C9" s="41">
        <v>332</v>
      </c>
      <c r="D9" s="41">
        <f t="shared" si="1"/>
        <v>523</v>
      </c>
      <c r="E9" s="54">
        <v>95</v>
      </c>
      <c r="F9" s="41">
        <v>485</v>
      </c>
      <c r="G9" s="41">
        <f t="shared" si="2"/>
        <v>580</v>
      </c>
      <c r="H9" s="52">
        <f t="shared" si="3"/>
        <v>1.0105263157894737</v>
      </c>
      <c r="I9" s="43">
        <f t="shared" si="4"/>
        <v>-0.31546391752577319</v>
      </c>
      <c r="J9" s="43">
        <f t="shared" si="5"/>
        <v>-9.8275862068965547E-2</v>
      </c>
    </row>
    <row r="10" spans="1:10" x14ac:dyDescent="0.3">
      <c r="A10" s="21" t="s">
        <v>105</v>
      </c>
      <c r="B10" s="41">
        <v>10</v>
      </c>
      <c r="C10" s="41">
        <v>164</v>
      </c>
      <c r="D10" s="41">
        <f t="shared" si="1"/>
        <v>174</v>
      </c>
      <c r="E10" s="54">
        <v>5</v>
      </c>
      <c r="F10" s="41">
        <v>252</v>
      </c>
      <c r="G10" s="41">
        <f t="shared" si="2"/>
        <v>257</v>
      </c>
      <c r="H10" s="52">
        <f t="shared" si="3"/>
        <v>1</v>
      </c>
      <c r="I10" s="43">
        <f t="shared" si="4"/>
        <v>-0.34920634920634919</v>
      </c>
      <c r="J10" s="43">
        <f t="shared" si="5"/>
        <v>-0.32295719844357973</v>
      </c>
    </row>
    <row r="11" spans="1:10" x14ac:dyDescent="0.3">
      <c r="A11" s="21" t="s">
        <v>103</v>
      </c>
      <c r="B11" s="41">
        <v>3</v>
      </c>
      <c r="C11" s="41">
        <v>185</v>
      </c>
      <c r="D11" s="41">
        <f t="shared" si="1"/>
        <v>188</v>
      </c>
      <c r="E11" s="54">
        <v>7</v>
      </c>
      <c r="F11" s="41">
        <v>127</v>
      </c>
      <c r="G11" s="41">
        <f t="shared" si="2"/>
        <v>134</v>
      </c>
      <c r="H11" s="52">
        <f t="shared" si="3"/>
        <v>-0.5714285714285714</v>
      </c>
      <c r="I11" s="43">
        <f t="shared" si="4"/>
        <v>0.45669291338582685</v>
      </c>
      <c r="J11" s="43">
        <f t="shared" si="5"/>
        <v>0.40298507462686572</v>
      </c>
    </row>
    <row r="12" spans="1:10" x14ac:dyDescent="0.3">
      <c r="A12" s="37" t="s">
        <v>113</v>
      </c>
      <c r="B12" s="42">
        <f>SUM(B6:B11)</f>
        <v>688</v>
      </c>
      <c r="C12" s="42">
        <f>SUM(C6:C11)</f>
        <v>8445</v>
      </c>
      <c r="D12" s="42">
        <f t="shared" si="1"/>
        <v>9133</v>
      </c>
      <c r="E12" s="55">
        <f>SUM(E6:E11)</f>
        <v>436</v>
      </c>
      <c r="F12" s="42">
        <f>SUM(F6:F11)</f>
        <v>9003</v>
      </c>
      <c r="G12" s="42">
        <f t="shared" si="2"/>
        <v>9439</v>
      </c>
      <c r="H12" s="59">
        <f t="shared" si="3"/>
        <v>0.57798165137614688</v>
      </c>
      <c r="I12" s="44">
        <f t="shared" si="4"/>
        <v>-6.1979340219926682E-2</v>
      </c>
      <c r="J12" s="44">
        <f t="shared" si="5"/>
        <v>-3.2418688420383535E-2</v>
      </c>
    </row>
    <row r="13" spans="1:10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3">
      <c r="A14" s="21"/>
      <c r="B14" s="48" t="s">
        <v>109</v>
      </c>
      <c r="C14" s="48"/>
      <c r="D14" s="48"/>
      <c r="E14" s="48"/>
      <c r="F14" s="48"/>
      <c r="G14" s="48"/>
      <c r="H14" s="21"/>
      <c r="I14" s="21"/>
      <c r="J14" s="21"/>
    </row>
    <row r="15" spans="1:10" x14ac:dyDescent="0.3">
      <c r="A15" s="21" t="s">
        <v>101</v>
      </c>
      <c r="B15" s="43">
        <f>B6/B$12</f>
        <v>0.43313953488372092</v>
      </c>
      <c r="C15" s="43">
        <f>C6/C$12</f>
        <v>0.4093546477205447</v>
      </c>
      <c r="D15" s="43">
        <f>D6/D$12</f>
        <v>0.41114639220409505</v>
      </c>
      <c r="E15" s="50">
        <f>E6/E$12</f>
        <v>0.41513761467889909</v>
      </c>
      <c r="F15" s="51">
        <f>F6/F$12</f>
        <v>0.39420193268910364</v>
      </c>
      <c r="G15" s="51">
        <f>G6/G$12</f>
        <v>0.39516897976480558</v>
      </c>
      <c r="H15" s="21"/>
      <c r="I15" s="21"/>
      <c r="J15" s="21"/>
    </row>
    <row r="16" spans="1:10" x14ac:dyDescent="0.3">
      <c r="A16" s="21" t="s">
        <v>102</v>
      </c>
      <c r="B16" s="43">
        <f>B7/B$12</f>
        <v>0.16424418604651161</v>
      </c>
      <c r="C16" s="43">
        <f>C7/C$12</f>
        <v>0.21136767317939609</v>
      </c>
      <c r="D16" s="43">
        <f>D7/D$12</f>
        <v>0.20781780356947332</v>
      </c>
      <c r="E16" s="52">
        <f>E7/E$12</f>
        <v>0.23623853211009174</v>
      </c>
      <c r="F16" s="43">
        <f>F7/F$12</f>
        <v>0.21626124625124959</v>
      </c>
      <c r="G16" s="43">
        <f>G7/G$12</f>
        <v>0.21718402373132747</v>
      </c>
      <c r="H16" s="21"/>
      <c r="I16" s="21"/>
      <c r="J16" s="21"/>
    </row>
    <row r="17" spans="1:10" x14ac:dyDescent="0.3">
      <c r="A17" s="21" t="s">
        <v>104</v>
      </c>
      <c r="B17" s="43">
        <f>B8/B$12</f>
        <v>0.10610465116279069</v>
      </c>
      <c r="C17" s="43">
        <f>C8/C$12</f>
        <v>0.2986382474837182</v>
      </c>
      <c r="D17" s="43">
        <f>D8/D$12</f>
        <v>0.28413445746195115</v>
      </c>
      <c r="E17" s="52">
        <f>E8/E$12</f>
        <v>0.10321100917431193</v>
      </c>
      <c r="F17" s="43">
        <f>F8/F$12</f>
        <v>0.29356881039653449</v>
      </c>
      <c r="G17" s="43">
        <f>G8/G$12</f>
        <v>0.28477592965356502</v>
      </c>
      <c r="H17" s="21"/>
      <c r="I17" s="21"/>
      <c r="J17" s="21"/>
    </row>
    <row r="18" spans="1:10" x14ac:dyDescent="0.3">
      <c r="A18" s="21" t="s">
        <v>100</v>
      </c>
      <c r="B18" s="43">
        <f>B9/B$12</f>
        <v>0.27761627906976744</v>
      </c>
      <c r="C18" s="43">
        <f>C9/C$12</f>
        <v>3.9313203078744821E-2</v>
      </c>
      <c r="D18" s="43">
        <f>D9/D$12</f>
        <v>5.7264863681156249E-2</v>
      </c>
      <c r="E18" s="52">
        <f>E9/E$12</f>
        <v>0.21788990825688073</v>
      </c>
      <c r="F18" s="43">
        <f>F9/F$12</f>
        <v>5.3870931911585027E-2</v>
      </c>
      <c r="G18" s="43">
        <f>G9/G$12</f>
        <v>6.1447187202034112E-2</v>
      </c>
      <c r="H18" s="21"/>
      <c r="I18" s="21"/>
      <c r="J18" s="21"/>
    </row>
    <row r="19" spans="1:10" x14ac:dyDescent="0.3">
      <c r="A19" s="21" t="s">
        <v>105</v>
      </c>
      <c r="B19" s="43">
        <f>B10/B$12</f>
        <v>1.4534883720930232E-2</v>
      </c>
      <c r="C19" s="43">
        <f>C10/C$12</f>
        <v>1.9419775014801657E-2</v>
      </c>
      <c r="D19" s="43">
        <f>D10/D$12</f>
        <v>1.9051790211321581E-2</v>
      </c>
      <c r="E19" s="52">
        <f>E10/E$12</f>
        <v>1.1467889908256881E-2</v>
      </c>
      <c r="F19" s="43">
        <f>F10/F$12</f>
        <v>2.7990669776741087E-2</v>
      </c>
      <c r="G19" s="43">
        <f>G10/G$12</f>
        <v>2.7227460536073736E-2</v>
      </c>
      <c r="H19" s="21"/>
      <c r="I19" s="21"/>
      <c r="J19" s="21"/>
    </row>
    <row r="20" spans="1:10" x14ac:dyDescent="0.3">
      <c r="A20" s="21" t="s">
        <v>103</v>
      </c>
      <c r="B20" s="43">
        <f>B11/B$12</f>
        <v>4.3604651162790697E-3</v>
      </c>
      <c r="C20" s="43">
        <f>C11/C$12</f>
        <v>2.1906453522794554E-2</v>
      </c>
      <c r="D20" s="43">
        <f>D11/D$12</f>
        <v>2.0584692872002628E-2</v>
      </c>
      <c r="E20" s="52">
        <f>E11/E$12</f>
        <v>1.6055045871559634E-2</v>
      </c>
      <c r="F20" s="43">
        <f>F11/F$12</f>
        <v>1.4106408974786183E-2</v>
      </c>
      <c r="G20" s="43">
        <f>G11/G$12</f>
        <v>1.4196419112194089E-2</v>
      </c>
      <c r="H20" s="21"/>
      <c r="I20" s="21"/>
      <c r="J20" s="21"/>
    </row>
    <row r="21" spans="1:10" x14ac:dyDescent="0.3">
      <c r="A21" s="37" t="s">
        <v>113</v>
      </c>
      <c r="B21" s="43">
        <f>B12/B$12</f>
        <v>1</v>
      </c>
      <c r="C21" s="43">
        <f>C12/C$12</f>
        <v>1</v>
      </c>
      <c r="D21" s="43">
        <f>D12/D$12</f>
        <v>1</v>
      </c>
      <c r="E21" s="52">
        <f t="shared" ref="E21:G21" si="6">E12/E$12</f>
        <v>1</v>
      </c>
      <c r="F21" s="43">
        <f t="shared" si="6"/>
        <v>1</v>
      </c>
      <c r="G21" s="43">
        <f t="shared" si="6"/>
        <v>1</v>
      </c>
      <c r="H21" s="21"/>
      <c r="I21" s="21"/>
      <c r="J21" s="21"/>
    </row>
    <row r="22" spans="1:10" x14ac:dyDescent="0.3">
      <c r="A22" s="37"/>
      <c r="B22" s="43"/>
      <c r="C22" s="43"/>
      <c r="D22" s="43"/>
      <c r="E22" s="43"/>
      <c r="F22" s="43"/>
      <c r="G22" s="43"/>
      <c r="H22" s="21"/>
      <c r="I22" s="21"/>
      <c r="J22" s="21"/>
    </row>
    <row r="23" spans="1:10" s="21" customFormat="1" x14ac:dyDescent="0.3">
      <c r="B23" s="48" t="s">
        <v>112</v>
      </c>
      <c r="C23" s="48"/>
      <c r="D23" s="48"/>
      <c r="E23" s="48"/>
      <c r="F23" s="48"/>
      <c r="G23" s="48"/>
    </row>
    <row r="24" spans="1:10" x14ac:dyDescent="0.3">
      <c r="A24" s="21" t="s">
        <v>101</v>
      </c>
      <c r="B24" s="43">
        <f>B6/$D6</f>
        <v>7.9360852197070578E-2</v>
      </c>
      <c r="C24" s="43">
        <f>C6/$D6</f>
        <v>0.92063914780292944</v>
      </c>
      <c r="D24" s="43">
        <f>D6/$D6</f>
        <v>1</v>
      </c>
      <c r="E24" s="50">
        <f>E6/$G6</f>
        <v>4.8525469168900805E-2</v>
      </c>
      <c r="F24" s="51">
        <f>F6/$G6</f>
        <v>0.95147453083109923</v>
      </c>
      <c r="G24" s="51">
        <f>G6/$G6</f>
        <v>1</v>
      </c>
      <c r="H24" s="21"/>
      <c r="I24" s="21"/>
      <c r="J24" s="21"/>
    </row>
    <row r="25" spans="1:10" x14ac:dyDescent="0.3">
      <c r="A25" s="21" t="s">
        <v>102</v>
      </c>
      <c r="B25" s="43">
        <f>B7/$D7</f>
        <v>5.9536354056902004E-2</v>
      </c>
      <c r="C25" s="43">
        <f>C7/$D7</f>
        <v>0.94046364594309795</v>
      </c>
      <c r="D25" s="43">
        <f>D7/$D7</f>
        <v>1</v>
      </c>
      <c r="E25" s="52">
        <f>E7/$G7</f>
        <v>5.0243902439024393E-2</v>
      </c>
      <c r="F25" s="43">
        <f>F7/$G7</f>
        <v>0.94975609756097557</v>
      </c>
      <c r="G25" s="43">
        <f>G7/$G7</f>
        <v>1</v>
      </c>
    </row>
    <row r="26" spans="1:10" x14ac:dyDescent="0.3">
      <c r="A26" s="21" t="s">
        <v>104</v>
      </c>
      <c r="B26" s="43">
        <f>B8/$D8</f>
        <v>2.8131021194605008E-2</v>
      </c>
      <c r="C26" s="43">
        <f>C8/$D8</f>
        <v>0.97186897880539502</v>
      </c>
      <c r="D26" s="43">
        <f>D8/$D8</f>
        <v>1</v>
      </c>
      <c r="E26" s="52">
        <f>E8/$G8</f>
        <v>1.6741071428571428E-2</v>
      </c>
      <c r="F26" s="43">
        <f>F8/$G8</f>
        <v>0.9832589285714286</v>
      </c>
      <c r="G26" s="43">
        <f>G8/$G8</f>
        <v>1</v>
      </c>
    </row>
    <row r="27" spans="1:10" x14ac:dyDescent="0.3">
      <c r="A27" s="21" t="s">
        <v>100</v>
      </c>
      <c r="B27" s="43">
        <f>B9/$D9</f>
        <v>0.36520076481835562</v>
      </c>
      <c r="C27" s="43">
        <f>C9/$D9</f>
        <v>0.63479923518164438</v>
      </c>
      <c r="D27" s="43">
        <f>D9/$D9</f>
        <v>1</v>
      </c>
      <c r="E27" s="52">
        <f>E9/$G9</f>
        <v>0.16379310344827586</v>
      </c>
      <c r="F27" s="43">
        <f>F9/$G9</f>
        <v>0.83620689655172409</v>
      </c>
      <c r="G27" s="43">
        <f>G9/$G9</f>
        <v>1</v>
      </c>
    </row>
    <row r="28" spans="1:10" x14ac:dyDescent="0.3">
      <c r="A28" s="21" t="s">
        <v>105</v>
      </c>
      <c r="B28" s="43">
        <f>B10/$D10</f>
        <v>5.7471264367816091E-2</v>
      </c>
      <c r="C28" s="43">
        <f>C10/$D10</f>
        <v>0.94252873563218387</v>
      </c>
      <c r="D28" s="43">
        <f>D10/$D10</f>
        <v>1</v>
      </c>
      <c r="E28" s="52">
        <f>E10/$G10</f>
        <v>1.9455252918287938E-2</v>
      </c>
      <c r="F28" s="43">
        <f>F10/$G10</f>
        <v>0.98054474708171202</v>
      </c>
      <c r="G28" s="43">
        <f>G10/$G10</f>
        <v>1</v>
      </c>
    </row>
    <row r="29" spans="1:10" x14ac:dyDescent="0.3">
      <c r="A29" s="21" t="s">
        <v>103</v>
      </c>
      <c r="B29" s="43">
        <f>B11/$D11</f>
        <v>1.5957446808510637E-2</v>
      </c>
      <c r="C29" s="43">
        <f>C11/$D11</f>
        <v>0.98404255319148937</v>
      </c>
      <c r="D29" s="43">
        <f>D11/$D11</f>
        <v>1</v>
      </c>
      <c r="E29" s="52">
        <f>E11/$G11</f>
        <v>5.2238805970149252E-2</v>
      </c>
      <c r="F29" s="43">
        <f>F11/$G11</f>
        <v>0.94776119402985071</v>
      </c>
      <c r="G29" s="43">
        <f>G11/$G11</f>
        <v>1</v>
      </c>
    </row>
    <row r="30" spans="1:10" x14ac:dyDescent="0.3">
      <c r="A30" s="37" t="s">
        <v>113</v>
      </c>
      <c r="B30" s="44">
        <f t="shared" ref="B30:D30" si="7">B12/$D12</f>
        <v>7.53312164677543E-2</v>
      </c>
      <c r="C30" s="44">
        <f t="shared" si="7"/>
        <v>0.92466878353224569</v>
      </c>
      <c r="D30" s="44">
        <f t="shared" si="7"/>
        <v>1</v>
      </c>
      <c r="E30" s="59">
        <f t="shared" ref="E30:G30" si="8">E12/$G12</f>
        <v>4.6191333827735992E-2</v>
      </c>
      <c r="F30" s="44">
        <f t="shared" si="8"/>
        <v>0.95380866617226401</v>
      </c>
      <c r="G30" s="44">
        <f t="shared" si="8"/>
        <v>1</v>
      </c>
    </row>
    <row r="31" spans="1:10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x14ac:dyDescent="0.3">
      <c r="A32" s="49" t="s">
        <v>111</v>
      </c>
    </row>
  </sheetData>
  <mergeCells count="5">
    <mergeCell ref="B3:D3"/>
    <mergeCell ref="E3:G3"/>
    <mergeCell ref="H3:J3"/>
    <mergeCell ref="B14:G14"/>
    <mergeCell ref="B23:G23"/>
  </mergeCells>
  <printOptions gridLines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2020</vt:lpstr>
      <vt:lpstr>dl18</vt:lpstr>
      <vt:lpstr>Bietole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Veneto - Manuel Beninca</dc:creator>
  <cp:lastModifiedBy>Veneto - Manuel Beninca</cp:lastModifiedBy>
  <cp:lastPrinted>2021-04-30T06:39:59Z</cp:lastPrinted>
  <dcterms:created xsi:type="dcterms:W3CDTF">2020-03-19T15:15:43Z</dcterms:created>
  <dcterms:modified xsi:type="dcterms:W3CDTF">2021-04-30T06:45:34Z</dcterms:modified>
</cp:coreProperties>
</file>